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rlend/Desktop/"/>
    </mc:Choice>
  </mc:AlternateContent>
  <xr:revisionPtr revIDLastSave="0" documentId="13_ncr:1_{B5931D2C-2111-B94F-8906-ED7A7AB11B7E}" xr6:coauthVersionLast="47" xr6:coauthVersionMax="47" xr10:uidLastSave="{00000000-0000-0000-0000-000000000000}"/>
  <bookViews>
    <workbookView xWindow="4480" yWindow="500" windowWidth="24320" windowHeight="16080" xr2:uid="{E2B26A77-DA3D-A84B-9AF7-2D9FE80D458F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8" i="1" l="1"/>
  <c r="F160" i="1"/>
  <c r="F163" i="1" s="1"/>
  <c r="F159" i="1"/>
  <c r="F157" i="1"/>
  <c r="F151" i="1"/>
  <c r="F150" i="1"/>
  <c r="F149" i="1"/>
  <c r="F148" i="1"/>
  <c r="F147" i="1"/>
  <c r="F146" i="1"/>
  <c r="F145" i="1"/>
  <c r="F132" i="1"/>
  <c r="F131" i="1"/>
  <c r="F130" i="1"/>
  <c r="H101" i="1"/>
  <c r="H100" i="1"/>
  <c r="H138" i="1"/>
  <c r="H139" i="1" s="1"/>
  <c r="I138" i="1"/>
  <c r="I139" i="1" s="1"/>
  <c r="J138" i="1"/>
  <c r="J139" i="1" s="1"/>
  <c r="K138" i="1"/>
  <c r="K139" i="1" s="1"/>
  <c r="L138" i="1"/>
  <c r="L139" i="1" s="1"/>
  <c r="M138" i="1"/>
  <c r="M139" i="1" s="1"/>
  <c r="N138" i="1"/>
  <c r="N139" i="1" s="1"/>
  <c r="O138" i="1"/>
  <c r="O139" i="1" s="1"/>
  <c r="P138" i="1"/>
  <c r="P139" i="1" s="1"/>
  <c r="Q138" i="1"/>
  <c r="Q139" i="1" s="1"/>
  <c r="G138" i="1"/>
  <c r="G139" i="1" s="1"/>
  <c r="F129" i="1"/>
  <c r="F128" i="1"/>
  <c r="I101" i="1"/>
  <c r="J101" i="1" s="1"/>
  <c r="K101" i="1" s="1"/>
  <c r="L101" i="1" s="1"/>
  <c r="M101" i="1" s="1"/>
  <c r="N101" i="1" s="1"/>
  <c r="O101" i="1" s="1"/>
  <c r="P101" i="1" s="1"/>
  <c r="Q101" i="1" s="1"/>
  <c r="R101" i="1" s="1"/>
  <c r="J100" i="1"/>
  <c r="K100" i="1"/>
  <c r="L100" i="1"/>
  <c r="M100" i="1"/>
  <c r="N100" i="1"/>
  <c r="O100" i="1"/>
  <c r="P100" i="1"/>
  <c r="Q100" i="1"/>
  <c r="R100" i="1"/>
  <c r="I100" i="1"/>
  <c r="J99" i="1"/>
  <c r="K99" i="1"/>
  <c r="L99" i="1"/>
  <c r="M99" i="1"/>
  <c r="N99" i="1"/>
  <c r="O99" i="1"/>
  <c r="P99" i="1"/>
  <c r="Q99" i="1"/>
  <c r="R99" i="1"/>
  <c r="I99" i="1"/>
  <c r="J97" i="1"/>
  <c r="K97" i="1"/>
  <c r="L97" i="1"/>
  <c r="M97" i="1"/>
  <c r="N97" i="1"/>
  <c r="O97" i="1"/>
  <c r="P97" i="1"/>
  <c r="Q97" i="1"/>
  <c r="R97" i="1"/>
  <c r="I97" i="1"/>
  <c r="J96" i="1"/>
  <c r="K96" i="1"/>
  <c r="L96" i="1"/>
  <c r="M96" i="1"/>
  <c r="N96" i="1"/>
  <c r="O96" i="1"/>
  <c r="P96" i="1"/>
  <c r="Q96" i="1"/>
  <c r="R96" i="1"/>
  <c r="I96" i="1"/>
  <c r="J94" i="1"/>
  <c r="K94" i="1"/>
  <c r="L94" i="1"/>
  <c r="M94" i="1"/>
  <c r="N94" i="1"/>
  <c r="O94" i="1"/>
  <c r="P94" i="1"/>
  <c r="Q94" i="1"/>
  <c r="R94" i="1"/>
  <c r="I94" i="1"/>
  <c r="J93" i="1"/>
  <c r="K93" i="1"/>
  <c r="L93" i="1"/>
  <c r="M93" i="1"/>
  <c r="N93" i="1"/>
  <c r="O93" i="1"/>
  <c r="P93" i="1"/>
  <c r="Q93" i="1"/>
  <c r="R93" i="1"/>
  <c r="I93" i="1"/>
  <c r="J90" i="1"/>
  <c r="K90" i="1"/>
  <c r="L90" i="1"/>
  <c r="M90" i="1"/>
  <c r="N90" i="1"/>
  <c r="O90" i="1"/>
  <c r="P90" i="1"/>
  <c r="Q90" i="1"/>
  <c r="R90" i="1"/>
  <c r="I90" i="1"/>
  <c r="J89" i="1"/>
  <c r="K89" i="1"/>
  <c r="L89" i="1"/>
  <c r="M89" i="1"/>
  <c r="N89" i="1"/>
  <c r="O89" i="1"/>
  <c r="P89" i="1"/>
  <c r="Q89" i="1"/>
  <c r="R89" i="1"/>
  <c r="J88" i="1"/>
  <c r="K88" i="1"/>
  <c r="L88" i="1"/>
  <c r="M88" i="1"/>
  <c r="N88" i="1"/>
  <c r="O88" i="1"/>
  <c r="P88" i="1"/>
  <c r="Q88" i="1"/>
  <c r="R88" i="1"/>
  <c r="I89" i="1"/>
  <c r="I88" i="1"/>
  <c r="F89" i="1"/>
  <c r="K92" i="1"/>
  <c r="L92" i="1"/>
  <c r="M92" i="1"/>
  <c r="N92" i="1"/>
  <c r="O92" i="1"/>
  <c r="P92" i="1"/>
  <c r="Q92" i="1"/>
  <c r="R92" i="1"/>
  <c r="J92" i="1"/>
  <c r="I92" i="1"/>
  <c r="H90" i="1"/>
  <c r="H86" i="1"/>
  <c r="H85" i="1"/>
  <c r="F86" i="1"/>
  <c r="F85" i="1"/>
  <c r="F88" i="1"/>
  <c r="F71" i="1"/>
  <c r="F58" i="1"/>
  <c r="F59" i="1"/>
  <c r="F60" i="1"/>
  <c r="F61" i="1"/>
  <c r="F49" i="1"/>
  <c r="G29" i="1"/>
  <c r="F67" i="1" s="1"/>
  <c r="G39" i="1"/>
  <c r="F75" i="1" s="1"/>
  <c r="G36" i="1"/>
  <c r="F72" i="1" s="1"/>
  <c r="G35" i="1"/>
  <c r="G30" i="1"/>
  <c r="G34" i="1" s="1"/>
  <c r="F70" i="1" s="1"/>
  <c r="G20" i="1"/>
  <c r="G24" i="1"/>
  <c r="F63" i="1" s="1"/>
  <c r="G23" i="1"/>
  <c r="F62" i="1" s="1"/>
  <c r="G22" i="1"/>
  <c r="G18" i="1"/>
  <c r="G16" i="1"/>
  <c r="G15" i="1"/>
  <c r="F57" i="1" s="1"/>
  <c r="G14" i="1"/>
  <c r="F56" i="1" s="1"/>
  <c r="G12" i="1"/>
  <c r="F55" i="1" s="1"/>
  <c r="F161" i="1" l="1"/>
  <c r="F162" i="1" s="1"/>
  <c r="F165" i="1" s="1"/>
  <c r="F167" i="1" s="1"/>
  <c r="F153" i="1"/>
  <c r="F140" i="1"/>
  <c r="F64" i="1"/>
  <c r="F68" i="1"/>
  <c r="G33" i="1"/>
  <c r="G25" i="1"/>
  <c r="F76" i="1" l="1"/>
  <c r="F79" i="1" s="1"/>
  <c r="F69" i="1"/>
  <c r="G42" i="1"/>
  <c r="G45" i="1" s="1"/>
</calcChain>
</file>

<file path=xl/sharedStrings.xml><?xml version="1.0" encoding="utf-8"?>
<sst xmlns="http://schemas.openxmlformats.org/spreadsheetml/2006/main" count="133" uniqueCount="87">
  <si>
    <t>Øving 8 - Prosessteknikk</t>
  </si>
  <si>
    <t>Oppgave 1</t>
  </si>
  <si>
    <t>a)</t>
  </si>
  <si>
    <t>Basic data</t>
  </si>
  <si>
    <t>Production capacity (ton/year)</t>
  </si>
  <si>
    <t>Price of PE (NOK/ton)</t>
  </si>
  <si>
    <t>Fixed capital cost (MNOK)</t>
  </si>
  <si>
    <t>Working capital (MNOK)</t>
  </si>
  <si>
    <t>Variable operating costs</t>
  </si>
  <si>
    <t>Hva</t>
  </si>
  <si>
    <t>Ethylene consumption (ton/ton PE)</t>
  </si>
  <si>
    <t>Ethylene price (NOK/ton)</t>
  </si>
  <si>
    <t>Catalyst price (NOK/ton PE)</t>
  </si>
  <si>
    <t>Annual maintenance (% of fixed capital)</t>
  </si>
  <si>
    <t>Operators, no. of shifts</t>
  </si>
  <si>
    <t>Operators per shift</t>
  </si>
  <si>
    <t>Operator salary, including social expenses (NOK/year)</t>
  </si>
  <si>
    <t>Laboratory cost (% of operator cost)</t>
  </si>
  <si>
    <t>Supervision and daytime labor (% of operating labor)</t>
  </si>
  <si>
    <t>Electric power price (NOK/kWh)</t>
  </si>
  <si>
    <t>Electric power consumption (kWh/ ton PE)</t>
  </si>
  <si>
    <t>Steam consumption (ton/ton PE)</t>
  </si>
  <si>
    <t>Steam price (NOK/ton steam)</t>
  </si>
  <si>
    <t>Water consumption (m3/ton PE)</t>
  </si>
  <si>
    <t>Water price (NOK/1000 m3)</t>
  </si>
  <si>
    <t>Packing material (NOK/ton PE)</t>
  </si>
  <si>
    <t>Packing and storage (NOK/ton PE)</t>
  </si>
  <si>
    <t>Sales cost (MNOK/year)</t>
  </si>
  <si>
    <t>Royalities (% of revenues)</t>
  </si>
  <si>
    <t>Property taxes and insurance (% of fixed capital)</t>
  </si>
  <si>
    <t>Main administration (MNOK/year)</t>
  </si>
  <si>
    <t>Oppgitt verdi</t>
  </si>
  <si>
    <t>NOK/ton PE (for kostnader)</t>
  </si>
  <si>
    <t>Totalt</t>
  </si>
  <si>
    <t>Fixed operating costs</t>
  </si>
  <si>
    <t>Basic costs</t>
  </si>
  <si>
    <t>Skal assurance være med?</t>
  </si>
  <si>
    <t>Total kostnad per ton PE</t>
  </si>
  <si>
    <t>b)</t>
  </si>
  <si>
    <t>Revenues at full skale production (MNOK/year)</t>
  </si>
  <si>
    <t>c)</t>
  </si>
  <si>
    <t>Kostnad (MNOK/year)</t>
  </si>
  <si>
    <t>Other chemicals (NOK/ton PE)</t>
  </si>
  <si>
    <t>Total kostnad (MNOK/year)</t>
  </si>
  <si>
    <t>d)</t>
  </si>
  <si>
    <t>År</t>
  </si>
  <si>
    <t>Depriciation</t>
  </si>
  <si>
    <t>Tax</t>
  </si>
  <si>
    <t>Depriciation factor</t>
  </si>
  <si>
    <t>Sales</t>
  </si>
  <si>
    <t>Operating costs</t>
  </si>
  <si>
    <t>Gross profit</t>
  </si>
  <si>
    <t>Result before tax</t>
  </si>
  <si>
    <t>Result after tax</t>
  </si>
  <si>
    <t>Net cash flow</t>
  </si>
  <si>
    <t>Fixed capital cost</t>
  </si>
  <si>
    <t>Working capital</t>
  </si>
  <si>
    <t>Cumulative net cash flow</t>
  </si>
  <si>
    <t>e)</t>
  </si>
  <si>
    <t>Return of investment</t>
  </si>
  <si>
    <t>Cash flow</t>
  </si>
  <si>
    <t>Payback time</t>
  </si>
  <si>
    <t>Dette er litt rart, får at det blir ca. 2,3 år fra diagrammet over</t>
  </si>
  <si>
    <t>f)</t>
  </si>
  <si>
    <t>Discount factor</t>
  </si>
  <si>
    <t>Present value of future sum</t>
  </si>
  <si>
    <t>NPV</t>
  </si>
  <si>
    <t>g)</t>
  </si>
  <si>
    <t>Gjennomsnitts Cash flow</t>
  </si>
  <si>
    <t>Payback time med snitt cash flow</t>
  </si>
  <si>
    <t>Break Even</t>
  </si>
  <si>
    <t>Production capacity</t>
  </si>
  <si>
    <t>Denne passet bedre, gjennomsnitt er tydeligvis veien å gå</t>
  </si>
  <si>
    <t>Fixed costs - Insurance, property tax, capital wear, assurance</t>
  </si>
  <si>
    <t>Operating years</t>
  </si>
  <si>
    <t>Fixed costs - With labor</t>
  </si>
  <si>
    <t>Variable costs (NOK per ton PE)</t>
  </si>
  <si>
    <t>Production per year at the given capacity</t>
  </si>
  <si>
    <t>Variable cost (MNOK per year)</t>
  </si>
  <si>
    <t>Total cost (MNOK per year)</t>
  </si>
  <si>
    <t>Sales (MNOK per year)</t>
  </si>
  <si>
    <t>Revenue</t>
  </si>
  <si>
    <t>Shut-Down</t>
  </si>
  <si>
    <t>Want revenue to be 0</t>
  </si>
  <si>
    <t>Difference - revenue and fixed costs</t>
  </si>
  <si>
    <t>De neste oppgavene er løst ved å bruke målsøkingsanalyse (vet ikke hva det er på engelsk)</t>
  </si>
  <si>
    <t>Vil at "negativ revenue" (-Revenue) skal være lik fixed cost uten arbeidskostnader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</si>
</sst>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0" formatCode="0.000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 (Brødtekst)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2" fontId="0" fillId="0" borderId="0" xfId="0" applyNumberFormat="1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0" xfId="0" applyFont="1" applyBorder="1"/>
    <xf numFmtId="0" fontId="2" fillId="0" borderId="5" xfId="0" applyFont="1" applyBorder="1"/>
    <xf numFmtId="0" fontId="0" fillId="0" borderId="0" xfId="0" applyBorder="1"/>
    <xf numFmtId="2" fontId="0" fillId="0" borderId="5" xfId="0" applyNumberFormat="1" applyBorder="1"/>
    <xf numFmtId="0" fontId="0" fillId="0" borderId="6" xfId="0" applyBorder="1"/>
    <xf numFmtId="0" fontId="2" fillId="0" borderId="7" xfId="0" applyFont="1" applyBorder="1" applyAlignment="1">
      <alignment horizontal="right"/>
    </xf>
    <xf numFmtId="2" fontId="0" fillId="0" borderId="8" xfId="0" applyNumberFormat="1" applyBorder="1"/>
    <xf numFmtId="0" fontId="2" fillId="0" borderId="2" xfId="0" applyFont="1" applyBorder="1"/>
    <xf numFmtId="0" fontId="2" fillId="0" borderId="3" xfId="0" applyFont="1" applyBorder="1"/>
    <xf numFmtId="0" fontId="0" fillId="0" borderId="7" xfId="0" applyBorder="1"/>
    <xf numFmtId="2" fontId="0" fillId="0" borderId="0" xfId="0" applyNumberFormat="1" applyBorder="1"/>
    <xf numFmtId="2" fontId="0" fillId="0" borderId="0" xfId="1" applyNumberFormat="1" applyFont="1" applyBorder="1"/>
    <xf numFmtId="2" fontId="2" fillId="0" borderId="7" xfId="0" applyNumberFormat="1" applyFont="1" applyBorder="1" applyAlignment="1">
      <alignment horizontal="right"/>
    </xf>
    <xf numFmtId="10" fontId="0" fillId="0" borderId="0" xfId="1" applyNumberFormat="1" applyFont="1" applyBorder="1"/>
    <xf numFmtId="0" fontId="0" fillId="0" borderId="5" xfId="0" applyBorder="1"/>
    <xf numFmtId="0" fontId="3" fillId="0" borderId="0" xfId="0" applyFont="1" applyBorder="1"/>
    <xf numFmtId="2" fontId="0" fillId="0" borderId="3" xfId="0" applyNumberFormat="1" applyBorder="1"/>
    <xf numFmtId="0" fontId="2" fillId="0" borderId="4" xfId="0" applyFont="1" applyBorder="1"/>
    <xf numFmtId="2" fontId="0" fillId="0" borderId="0" xfId="0" applyNumberFormat="1" applyFont="1" applyBorder="1" applyAlignment="1">
      <alignment horizontal="right"/>
    </xf>
    <xf numFmtId="9" fontId="0" fillId="0" borderId="0" xfId="1" applyFont="1" applyBorder="1"/>
    <xf numFmtId="0" fontId="2" fillId="0" borderId="6" xfId="0" applyFont="1" applyBorder="1"/>
    <xf numFmtId="0" fontId="0" fillId="2" borderId="2" xfId="0" applyFill="1" applyBorder="1"/>
    <xf numFmtId="0" fontId="0" fillId="2" borderId="3" xfId="0" applyFill="1" applyBorder="1"/>
    <xf numFmtId="0" fontId="0" fillId="2" borderId="7" xfId="0" applyFill="1" applyBorder="1"/>
    <xf numFmtId="2" fontId="0" fillId="2" borderId="7" xfId="0" applyNumberFormat="1" applyFill="1" applyBorder="1"/>
    <xf numFmtId="2" fontId="0" fillId="2" borderId="8" xfId="0" applyNumberFormat="1" applyFill="1" applyBorder="1"/>
    <xf numFmtId="0" fontId="4" fillId="0" borderId="0" xfId="0" applyFont="1"/>
    <xf numFmtId="0" fontId="2" fillId="3" borderId="0" xfId="0" applyFont="1" applyFill="1"/>
    <xf numFmtId="10" fontId="0" fillId="3" borderId="0" xfId="1" applyNumberFormat="1" applyFont="1" applyFill="1"/>
    <xf numFmtId="2" fontId="0" fillId="3" borderId="0" xfId="0" applyNumberFormat="1" applyFill="1"/>
    <xf numFmtId="0" fontId="0" fillId="3" borderId="0" xfId="0" applyFill="1"/>
    <xf numFmtId="0" fontId="2" fillId="3" borderId="0" xfId="0" applyFont="1" applyFill="1" applyBorder="1" applyAlignment="1">
      <alignment horizontal="right"/>
    </xf>
    <xf numFmtId="2" fontId="0" fillId="3" borderId="0" xfId="0" applyNumberFormat="1" applyFill="1" applyBorder="1"/>
    <xf numFmtId="170" fontId="0" fillId="3" borderId="0" xfId="0" applyNumberFormat="1" applyFill="1"/>
    <xf numFmtId="0" fontId="2" fillId="0" borderId="0" xfId="0" applyFont="1" applyFill="1"/>
    <xf numFmtId="2" fontId="0" fillId="0" borderId="0" xfId="0" applyNumberFormat="1" applyFill="1"/>
    <xf numFmtId="0" fontId="0" fillId="0" borderId="7" xfId="0" applyFill="1" applyBorder="1"/>
    <xf numFmtId="2" fontId="0" fillId="0" borderId="8" xfId="0" applyNumberFormat="1" applyFill="1" applyBorder="1"/>
    <xf numFmtId="0" fontId="0" fillId="0" borderId="0" xfId="0" applyFont="1"/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Cumulative Cash Flow Diagram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'Ark1'!$G$83:$R$83</c:f>
              <c:numCache>
                <c:formatCode>General</c:formatCode>
                <c:ptCount val="12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</c:numCache>
            </c:numRef>
          </c:cat>
          <c:val>
            <c:numRef>
              <c:f>'Ark1'!$G$101:$R$101</c:f>
              <c:numCache>
                <c:formatCode>0.00</c:formatCode>
                <c:ptCount val="12"/>
                <c:pt idx="0" formatCode="General">
                  <c:v>0</c:v>
                </c:pt>
                <c:pt idx="1">
                  <c:v>-315</c:v>
                </c:pt>
                <c:pt idx="2">
                  <c:v>-174.50399999999999</c:v>
                </c:pt>
                <c:pt idx="3">
                  <c:v>-37.367999999999995</c:v>
                </c:pt>
                <c:pt idx="4">
                  <c:v>97.080000000000013</c:v>
                </c:pt>
                <c:pt idx="5">
                  <c:v>229.37760000000003</c:v>
                </c:pt>
                <c:pt idx="6">
                  <c:v>359.95488</c:v>
                </c:pt>
                <c:pt idx="7">
                  <c:v>489.15590400000002</c:v>
                </c:pt>
                <c:pt idx="8">
                  <c:v>617.25592319999998</c:v>
                </c:pt>
                <c:pt idx="9">
                  <c:v>744.47513856</c:v>
                </c:pt>
                <c:pt idx="10">
                  <c:v>870.98971084799996</c:v>
                </c:pt>
                <c:pt idx="11">
                  <c:v>996.94056867839993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D9-5245-BC3F-E33CF752C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054448"/>
        <c:axId val="511957648"/>
      </c:lineChart>
      <c:catAx>
        <c:axId val="512054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År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1957648"/>
        <c:crosses val="autoZero"/>
        <c:auto val="1"/>
        <c:lblAlgn val="ctr"/>
        <c:lblOffset val="100"/>
        <c:noMultiLvlLbl val="0"/>
      </c:catAx>
      <c:valAx>
        <c:axId val="511957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Cumulative</a:t>
                </a:r>
                <a:r>
                  <a:rPr lang="nb-NO" baseline="0"/>
                  <a:t> Cash FLow (MNOK)</a:t>
                </a:r>
                <a:endParaRPr lang="nb-N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2054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69780</xdr:colOff>
      <xdr:row>101</xdr:row>
      <xdr:rowOff>97692</xdr:rowOff>
    </xdr:from>
    <xdr:to>
      <xdr:col>8</xdr:col>
      <xdr:colOff>488460</xdr:colOff>
      <xdr:row>120</xdr:row>
      <xdr:rowOff>153517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323FA682-BA9C-DD47-80CD-F3D487BC32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22543-036A-5248-8FAB-6A53CF13EC08}">
  <dimension ref="A1:R167"/>
  <sheetViews>
    <sheetView tabSelected="1" topLeftCell="A143" zoomScale="91" workbookViewId="0">
      <selection activeCell="E164" sqref="E164"/>
    </sheetView>
  </sheetViews>
  <sheetFormatPr baseColWidth="10" defaultRowHeight="16" x14ac:dyDescent="0.2"/>
  <cols>
    <col min="1" max="1" width="21.5" customWidth="1"/>
    <col min="2" max="2" width="9.6640625" customWidth="1"/>
    <col min="3" max="3" width="3.5" customWidth="1"/>
    <col min="4" max="4" width="20.83203125" customWidth="1"/>
    <col min="5" max="5" width="65.5" customWidth="1"/>
    <col min="6" max="6" width="21" customWidth="1"/>
    <col min="7" max="7" width="25" customWidth="1"/>
  </cols>
  <sheetData>
    <row r="1" spans="1:7" x14ac:dyDescent="0.2">
      <c r="A1" s="1" t="s">
        <v>0</v>
      </c>
    </row>
    <row r="2" spans="1:7" ht="17" thickBot="1" x14ac:dyDescent="0.25">
      <c r="B2" s="1" t="s">
        <v>1</v>
      </c>
      <c r="C2" s="1" t="s">
        <v>2</v>
      </c>
    </row>
    <row r="3" spans="1:7" x14ac:dyDescent="0.2">
      <c r="D3" s="5" t="s">
        <v>3</v>
      </c>
      <c r="E3" s="16" t="s">
        <v>9</v>
      </c>
      <c r="F3" s="17" t="s">
        <v>31</v>
      </c>
    </row>
    <row r="4" spans="1:7" x14ac:dyDescent="0.2">
      <c r="D4" s="8"/>
      <c r="E4" s="11" t="s">
        <v>4</v>
      </c>
      <c r="F4" s="12">
        <v>50000</v>
      </c>
    </row>
    <row r="5" spans="1:7" x14ac:dyDescent="0.2">
      <c r="D5" s="8"/>
      <c r="E5" s="11" t="s">
        <v>5</v>
      </c>
      <c r="F5" s="12">
        <v>9800</v>
      </c>
    </row>
    <row r="6" spans="1:7" x14ac:dyDescent="0.2">
      <c r="D6" s="8"/>
      <c r="E6" s="11" t="s">
        <v>6</v>
      </c>
      <c r="F6" s="12">
        <v>300</v>
      </c>
    </row>
    <row r="7" spans="1:7" x14ac:dyDescent="0.2">
      <c r="D7" s="8"/>
      <c r="E7" s="11" t="s">
        <v>7</v>
      </c>
      <c r="F7" s="12">
        <v>15</v>
      </c>
    </row>
    <row r="8" spans="1:7" ht="17" thickBot="1" x14ac:dyDescent="0.25">
      <c r="D8" s="13"/>
      <c r="E8" s="45" t="s">
        <v>74</v>
      </c>
      <c r="F8" s="46">
        <v>10</v>
      </c>
    </row>
    <row r="9" spans="1:7" ht="17" thickBot="1" x14ac:dyDescent="0.25"/>
    <row r="10" spans="1:7" x14ac:dyDescent="0.2">
      <c r="D10" s="5" t="s">
        <v>8</v>
      </c>
      <c r="E10" s="6"/>
      <c r="F10" s="6"/>
      <c r="G10" s="7"/>
    </row>
    <row r="11" spans="1:7" x14ac:dyDescent="0.2">
      <c r="D11" s="8"/>
      <c r="E11" s="9" t="s">
        <v>9</v>
      </c>
      <c r="F11" s="9" t="s">
        <v>31</v>
      </c>
      <c r="G11" s="10" t="s">
        <v>32</v>
      </c>
    </row>
    <row r="12" spans="1:7" x14ac:dyDescent="0.2">
      <c r="D12" s="8"/>
      <c r="E12" s="11" t="s">
        <v>10</v>
      </c>
      <c r="F12" s="19">
        <v>1.03</v>
      </c>
      <c r="G12" s="12">
        <f>F12*F13</f>
        <v>2472</v>
      </c>
    </row>
    <row r="13" spans="1:7" x14ac:dyDescent="0.2">
      <c r="D13" s="8"/>
      <c r="E13" s="11" t="s">
        <v>11</v>
      </c>
      <c r="F13" s="19">
        <v>2400</v>
      </c>
      <c r="G13" s="12"/>
    </row>
    <row r="14" spans="1:7" x14ac:dyDescent="0.2">
      <c r="D14" s="8"/>
      <c r="E14" s="11" t="s">
        <v>12</v>
      </c>
      <c r="F14" s="19">
        <v>180</v>
      </c>
      <c r="G14" s="12">
        <f>F14</f>
        <v>180</v>
      </c>
    </row>
    <row r="15" spans="1:7" x14ac:dyDescent="0.2">
      <c r="D15" s="8"/>
      <c r="E15" s="11" t="s">
        <v>42</v>
      </c>
      <c r="F15" s="19">
        <v>330</v>
      </c>
      <c r="G15" s="12">
        <f>F15</f>
        <v>330</v>
      </c>
    </row>
    <row r="16" spans="1:7" x14ac:dyDescent="0.2">
      <c r="D16" s="8"/>
      <c r="E16" s="11" t="s">
        <v>20</v>
      </c>
      <c r="F16" s="19">
        <v>640</v>
      </c>
      <c r="G16" s="12">
        <f>F16*F17</f>
        <v>224</v>
      </c>
    </row>
    <row r="17" spans="4:7" x14ac:dyDescent="0.2">
      <c r="D17" s="8"/>
      <c r="E17" s="11" t="s">
        <v>19</v>
      </c>
      <c r="F17" s="19">
        <v>0.35</v>
      </c>
      <c r="G17" s="12"/>
    </row>
    <row r="18" spans="4:7" x14ac:dyDescent="0.2">
      <c r="D18" s="8"/>
      <c r="E18" s="11" t="s">
        <v>21</v>
      </c>
      <c r="F18" s="19">
        <v>10</v>
      </c>
      <c r="G18" s="12">
        <f>F18*F19</f>
        <v>1400</v>
      </c>
    </row>
    <row r="19" spans="4:7" x14ac:dyDescent="0.2">
      <c r="D19" s="8"/>
      <c r="E19" s="11" t="s">
        <v>22</v>
      </c>
      <c r="F19" s="19">
        <v>140</v>
      </c>
      <c r="G19" s="12"/>
    </row>
    <row r="20" spans="4:7" x14ac:dyDescent="0.2">
      <c r="D20" s="8"/>
      <c r="E20" s="11" t="s">
        <v>23</v>
      </c>
      <c r="F20" s="19">
        <v>400</v>
      </c>
      <c r="G20" s="12">
        <f>F20*F21/1000</f>
        <v>32</v>
      </c>
    </row>
    <row r="21" spans="4:7" x14ac:dyDescent="0.2">
      <c r="D21" s="8"/>
      <c r="E21" s="11" t="s">
        <v>24</v>
      </c>
      <c r="F21" s="19">
        <v>80</v>
      </c>
      <c r="G21" s="12"/>
    </row>
    <row r="22" spans="4:7" x14ac:dyDescent="0.2">
      <c r="D22" s="8"/>
      <c r="E22" s="11" t="s">
        <v>25</v>
      </c>
      <c r="F22" s="19">
        <v>60</v>
      </c>
      <c r="G22" s="12">
        <f>F22</f>
        <v>60</v>
      </c>
    </row>
    <row r="23" spans="4:7" x14ac:dyDescent="0.2">
      <c r="D23" s="8"/>
      <c r="E23" s="11" t="s">
        <v>26</v>
      </c>
      <c r="F23" s="19">
        <v>60</v>
      </c>
      <c r="G23" s="12">
        <f>F23</f>
        <v>60</v>
      </c>
    </row>
    <row r="24" spans="4:7" x14ac:dyDescent="0.2">
      <c r="D24" s="8"/>
      <c r="E24" s="11" t="s">
        <v>28</v>
      </c>
      <c r="F24" s="20">
        <v>0.05</v>
      </c>
      <c r="G24" s="12">
        <f>F5*F24</f>
        <v>490</v>
      </c>
    </row>
    <row r="25" spans="4:7" ht="17" thickBot="1" x14ac:dyDescent="0.25">
      <c r="D25" s="13"/>
      <c r="E25" s="18"/>
      <c r="F25" s="21" t="s">
        <v>33</v>
      </c>
      <c r="G25" s="15">
        <f>SUM(G12:G24)</f>
        <v>5248</v>
      </c>
    </row>
    <row r="26" spans="4:7" x14ac:dyDescent="0.2">
      <c r="F26" s="2"/>
    </row>
    <row r="27" spans="4:7" ht="17" thickBot="1" x14ac:dyDescent="0.25">
      <c r="F27" s="2"/>
    </row>
    <row r="28" spans="4:7" x14ac:dyDescent="0.2">
      <c r="D28" s="5" t="s">
        <v>34</v>
      </c>
      <c r="E28" s="16" t="s">
        <v>9</v>
      </c>
      <c r="F28" s="16" t="s">
        <v>31</v>
      </c>
      <c r="G28" s="17" t="s">
        <v>32</v>
      </c>
    </row>
    <row r="29" spans="4:7" x14ac:dyDescent="0.2">
      <c r="D29" s="8"/>
      <c r="E29" s="11" t="s">
        <v>13</v>
      </c>
      <c r="F29" s="22">
        <v>0.05</v>
      </c>
      <c r="G29" s="12">
        <f>F6*F29*10^6/F4</f>
        <v>300</v>
      </c>
    </row>
    <row r="30" spans="4:7" x14ac:dyDescent="0.2">
      <c r="D30" s="8"/>
      <c r="E30" s="11" t="s">
        <v>14</v>
      </c>
      <c r="F30" s="19">
        <v>5.5</v>
      </c>
      <c r="G30" s="12">
        <f>F30*F31*F32/F4</f>
        <v>220</v>
      </c>
    </row>
    <row r="31" spans="4:7" x14ac:dyDescent="0.2">
      <c r="D31" s="8"/>
      <c r="E31" s="11" t="s">
        <v>15</v>
      </c>
      <c r="F31" s="19">
        <v>5</v>
      </c>
      <c r="G31" s="12"/>
    </row>
    <row r="32" spans="4:7" x14ac:dyDescent="0.2">
      <c r="D32" s="8"/>
      <c r="E32" s="11" t="s">
        <v>16</v>
      </c>
      <c r="F32" s="19">
        <v>400000</v>
      </c>
      <c r="G32" s="12"/>
    </row>
    <row r="33" spans="2:7" x14ac:dyDescent="0.2">
      <c r="D33" s="8"/>
      <c r="E33" s="11" t="s">
        <v>17</v>
      </c>
      <c r="F33" s="22">
        <v>0.2</v>
      </c>
      <c r="G33" s="12">
        <f>G30*F33</f>
        <v>44</v>
      </c>
    </row>
    <row r="34" spans="2:7" x14ac:dyDescent="0.2">
      <c r="D34" s="8"/>
      <c r="E34" s="11" t="s">
        <v>18</v>
      </c>
      <c r="F34" s="22">
        <v>0.5</v>
      </c>
      <c r="G34" s="12">
        <f>G30*F34</f>
        <v>110</v>
      </c>
    </row>
    <row r="35" spans="2:7" x14ac:dyDescent="0.2">
      <c r="D35" s="8"/>
      <c r="E35" s="11" t="s">
        <v>27</v>
      </c>
      <c r="F35" s="19">
        <v>5</v>
      </c>
      <c r="G35" s="12">
        <f>F35*10^6/F4</f>
        <v>100</v>
      </c>
    </row>
    <row r="36" spans="2:7" x14ac:dyDescent="0.2">
      <c r="D36" s="8"/>
      <c r="E36" s="11" t="s">
        <v>30</v>
      </c>
      <c r="F36" s="19">
        <v>15</v>
      </c>
      <c r="G36" s="12">
        <f>F36*10^6/F4</f>
        <v>300</v>
      </c>
    </row>
    <row r="37" spans="2:7" x14ac:dyDescent="0.2">
      <c r="D37" s="8"/>
      <c r="E37" s="11"/>
      <c r="F37" s="11"/>
      <c r="G37" s="23"/>
    </row>
    <row r="38" spans="2:7" x14ac:dyDescent="0.2">
      <c r="D38" s="8"/>
      <c r="E38" s="9" t="s">
        <v>35</v>
      </c>
      <c r="F38" s="11"/>
      <c r="G38" s="23"/>
    </row>
    <row r="39" spans="2:7" x14ac:dyDescent="0.2">
      <c r="D39" s="8"/>
      <c r="E39" s="11" t="s">
        <v>29</v>
      </c>
      <c r="F39" s="22">
        <v>7.0000000000000001E-3</v>
      </c>
      <c r="G39" s="23">
        <f>F6*F39*10^6/F4</f>
        <v>42</v>
      </c>
    </row>
    <row r="40" spans="2:7" x14ac:dyDescent="0.2">
      <c r="D40" s="8"/>
      <c r="E40" s="24" t="s">
        <v>36</v>
      </c>
      <c r="F40" s="11"/>
      <c r="G40" s="23"/>
    </row>
    <row r="41" spans="2:7" x14ac:dyDescent="0.2">
      <c r="D41" s="8"/>
      <c r="E41" s="11"/>
      <c r="F41" s="11"/>
      <c r="G41" s="23"/>
    </row>
    <row r="42" spans="2:7" ht="17" thickBot="1" x14ac:dyDescent="0.25">
      <c r="D42" s="13"/>
      <c r="E42" s="18"/>
      <c r="F42" s="21" t="s">
        <v>33</v>
      </c>
      <c r="G42" s="15">
        <f>SUM(G29:G39)</f>
        <v>1116</v>
      </c>
    </row>
    <row r="45" spans="2:7" x14ac:dyDescent="0.2">
      <c r="F45" s="36" t="s">
        <v>37</v>
      </c>
      <c r="G45" s="38">
        <f>G25+G42</f>
        <v>6364</v>
      </c>
    </row>
    <row r="48" spans="2:7" x14ac:dyDescent="0.2">
      <c r="B48" s="1" t="s">
        <v>1</v>
      </c>
      <c r="C48" s="1" t="s">
        <v>38</v>
      </c>
    </row>
    <row r="49" spans="2:7" x14ac:dyDescent="0.2">
      <c r="E49" s="36" t="s">
        <v>39</v>
      </c>
      <c r="F49" s="39">
        <f>F4*F5/10^6</f>
        <v>490</v>
      </c>
    </row>
    <row r="52" spans="2:7" ht="17" thickBot="1" x14ac:dyDescent="0.25">
      <c r="B52" s="1" t="s">
        <v>1</v>
      </c>
      <c r="C52" s="1" t="s">
        <v>40</v>
      </c>
    </row>
    <row r="53" spans="2:7" x14ac:dyDescent="0.2">
      <c r="D53" s="5" t="s">
        <v>8</v>
      </c>
      <c r="E53" s="6"/>
      <c r="F53" s="7"/>
    </row>
    <row r="54" spans="2:7" x14ac:dyDescent="0.2">
      <c r="D54" s="8"/>
      <c r="E54" s="9" t="s">
        <v>9</v>
      </c>
      <c r="F54" s="10" t="s">
        <v>41</v>
      </c>
      <c r="G54" s="1"/>
    </row>
    <row r="55" spans="2:7" x14ac:dyDescent="0.2">
      <c r="D55" s="8"/>
      <c r="E55" s="11" t="s">
        <v>10</v>
      </c>
      <c r="F55" s="12">
        <f>G12*$F$4/10^6</f>
        <v>123.6</v>
      </c>
      <c r="G55" s="4"/>
    </row>
    <row r="56" spans="2:7" x14ac:dyDescent="0.2">
      <c r="D56" s="8"/>
      <c r="E56" s="11" t="s">
        <v>12</v>
      </c>
      <c r="F56" s="12">
        <f>G14*$F$4/10^6</f>
        <v>9</v>
      </c>
      <c r="G56" s="4"/>
    </row>
    <row r="57" spans="2:7" x14ac:dyDescent="0.2">
      <c r="D57" s="8"/>
      <c r="E57" s="11" t="s">
        <v>42</v>
      </c>
      <c r="F57" s="12">
        <f>G15*$F$4/10^6</f>
        <v>16.5</v>
      </c>
      <c r="G57" s="4"/>
    </row>
    <row r="58" spans="2:7" x14ac:dyDescent="0.2">
      <c r="D58" s="8"/>
      <c r="E58" s="11" t="s">
        <v>20</v>
      </c>
      <c r="F58" s="12">
        <f>G16*$F$4/10^6</f>
        <v>11.2</v>
      </c>
      <c r="G58" s="4"/>
    </row>
    <row r="59" spans="2:7" x14ac:dyDescent="0.2">
      <c r="D59" s="8"/>
      <c r="E59" s="11" t="s">
        <v>21</v>
      </c>
      <c r="F59" s="12">
        <f>G18*$F$4/10^6</f>
        <v>70</v>
      </c>
      <c r="G59" s="4"/>
    </row>
    <row r="60" spans="2:7" x14ac:dyDescent="0.2">
      <c r="D60" s="8"/>
      <c r="E60" s="11" t="s">
        <v>23</v>
      </c>
      <c r="F60" s="12">
        <f>G20*$F$4/10^6</f>
        <v>1.6</v>
      </c>
      <c r="G60" s="4"/>
    </row>
    <row r="61" spans="2:7" x14ac:dyDescent="0.2">
      <c r="D61" s="8"/>
      <c r="E61" s="11" t="s">
        <v>25</v>
      </c>
      <c r="F61" s="12">
        <f>G22*$F$4/10^6</f>
        <v>3</v>
      </c>
      <c r="G61" s="4"/>
    </row>
    <row r="62" spans="2:7" x14ac:dyDescent="0.2">
      <c r="D62" s="8"/>
      <c r="E62" s="11" t="s">
        <v>26</v>
      </c>
      <c r="F62" s="12">
        <f>G23*$F$4/10^6</f>
        <v>3</v>
      </c>
      <c r="G62" s="4"/>
    </row>
    <row r="63" spans="2:7" x14ac:dyDescent="0.2">
      <c r="D63" s="8"/>
      <c r="E63" s="11" t="s">
        <v>28</v>
      </c>
      <c r="F63" s="12">
        <f>G24*$F$4/10^6</f>
        <v>24.5</v>
      </c>
      <c r="G63" s="4"/>
    </row>
    <row r="64" spans="2:7" ht="17" thickBot="1" x14ac:dyDescent="0.25">
      <c r="D64" s="13"/>
      <c r="E64" s="14" t="s">
        <v>33</v>
      </c>
      <c r="F64" s="15">
        <f>SUM(F55:F63)</f>
        <v>262.39999999999998</v>
      </c>
      <c r="G64" s="4"/>
    </row>
    <row r="65" spans="4:7" ht="17" thickBot="1" x14ac:dyDescent="0.25">
      <c r="G65" s="4"/>
    </row>
    <row r="66" spans="4:7" x14ac:dyDescent="0.2">
      <c r="D66" s="5" t="s">
        <v>34</v>
      </c>
      <c r="E66" s="16" t="s">
        <v>9</v>
      </c>
      <c r="F66" s="25"/>
      <c r="G66" s="4"/>
    </row>
    <row r="67" spans="4:7" x14ac:dyDescent="0.2">
      <c r="D67" s="8"/>
      <c r="E67" s="11" t="s">
        <v>13</v>
      </c>
      <c r="F67" s="12">
        <f>G29*$F$4/10^6</f>
        <v>15</v>
      </c>
      <c r="G67" s="4"/>
    </row>
    <row r="68" spans="4:7" x14ac:dyDescent="0.2">
      <c r="D68" s="8"/>
      <c r="E68" s="11" t="s">
        <v>14</v>
      </c>
      <c r="F68" s="12">
        <f>G30*$F$4/10^6</f>
        <v>11</v>
      </c>
      <c r="G68" s="4"/>
    </row>
    <row r="69" spans="4:7" x14ac:dyDescent="0.2">
      <c r="D69" s="8"/>
      <c r="E69" s="11" t="s">
        <v>17</v>
      </c>
      <c r="F69" s="12">
        <f>G33*$F$4/10^6</f>
        <v>2.2000000000000002</v>
      </c>
    </row>
    <row r="70" spans="4:7" x14ac:dyDescent="0.2">
      <c r="D70" s="8"/>
      <c r="E70" s="11" t="s">
        <v>18</v>
      </c>
      <c r="F70" s="12">
        <f>G34*$F$4/10^6</f>
        <v>5.5</v>
      </c>
    </row>
    <row r="71" spans="4:7" x14ac:dyDescent="0.2">
      <c r="D71" s="8"/>
      <c r="E71" s="11" t="s">
        <v>27</v>
      </c>
      <c r="F71" s="12">
        <f>G35*$F$4/10^6</f>
        <v>5</v>
      </c>
      <c r="G71" s="1"/>
    </row>
    <row r="72" spans="4:7" x14ac:dyDescent="0.2">
      <c r="D72" s="8"/>
      <c r="E72" s="11" t="s">
        <v>30</v>
      </c>
      <c r="F72" s="12">
        <f>G36*$F$4/10^6</f>
        <v>15</v>
      </c>
      <c r="G72" s="4"/>
    </row>
    <row r="73" spans="4:7" x14ac:dyDescent="0.2">
      <c r="D73" s="8"/>
      <c r="E73" s="11"/>
      <c r="F73" s="23"/>
      <c r="G73" s="4"/>
    </row>
    <row r="74" spans="4:7" x14ac:dyDescent="0.2">
      <c r="D74" s="8"/>
      <c r="E74" s="9" t="s">
        <v>35</v>
      </c>
      <c r="F74" s="12"/>
      <c r="G74" s="4"/>
    </row>
    <row r="75" spans="4:7" x14ac:dyDescent="0.2">
      <c r="D75" s="8"/>
      <c r="E75" s="11" t="s">
        <v>29</v>
      </c>
      <c r="F75" s="12">
        <f>G39*$F$4/10^6</f>
        <v>2.1</v>
      </c>
      <c r="G75" s="4"/>
    </row>
    <row r="76" spans="4:7" ht="17" thickBot="1" x14ac:dyDescent="0.25">
      <c r="D76" s="13"/>
      <c r="E76" s="14" t="s">
        <v>33</v>
      </c>
      <c r="F76" s="15">
        <f>SUM(F67:F75)</f>
        <v>55.800000000000004</v>
      </c>
      <c r="G76" s="4"/>
    </row>
    <row r="77" spans="4:7" x14ac:dyDescent="0.2">
      <c r="D77" s="11"/>
      <c r="E77" s="11"/>
      <c r="F77" s="11"/>
      <c r="G77" s="4"/>
    </row>
    <row r="78" spans="4:7" x14ac:dyDescent="0.2">
      <c r="D78" s="11"/>
      <c r="E78" s="24"/>
      <c r="F78" s="11"/>
      <c r="G78" s="4"/>
    </row>
    <row r="79" spans="4:7" x14ac:dyDescent="0.2">
      <c r="D79" s="11"/>
      <c r="E79" s="40" t="s">
        <v>43</v>
      </c>
      <c r="F79" s="41">
        <f>F64+F76</f>
        <v>318.2</v>
      </c>
      <c r="G79" s="4"/>
    </row>
    <row r="82" spans="2:18" ht="17" thickBot="1" x14ac:dyDescent="0.25">
      <c r="B82" s="1" t="s">
        <v>1</v>
      </c>
      <c r="C82" s="1" t="s">
        <v>44</v>
      </c>
    </row>
    <row r="83" spans="2:18" x14ac:dyDescent="0.2">
      <c r="E83" s="5" t="s">
        <v>45</v>
      </c>
      <c r="F83" s="6"/>
      <c r="G83" s="30">
        <v>-1</v>
      </c>
      <c r="H83" s="30">
        <v>0</v>
      </c>
      <c r="I83" s="30">
        <v>1</v>
      </c>
      <c r="J83" s="30">
        <v>2</v>
      </c>
      <c r="K83" s="30">
        <v>3</v>
      </c>
      <c r="L83" s="30">
        <v>4</v>
      </c>
      <c r="M83" s="30">
        <v>5</v>
      </c>
      <c r="N83" s="30">
        <v>6</v>
      </c>
      <c r="O83" s="30">
        <v>7</v>
      </c>
      <c r="P83" s="30">
        <v>8</v>
      </c>
      <c r="Q83" s="30">
        <v>9</v>
      </c>
      <c r="R83" s="31">
        <v>10</v>
      </c>
    </row>
    <row r="84" spans="2:18" x14ac:dyDescent="0.2">
      <c r="E84" s="26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23"/>
    </row>
    <row r="85" spans="2:18" x14ac:dyDescent="0.2">
      <c r="E85" s="26" t="s">
        <v>55</v>
      </c>
      <c r="F85" s="19">
        <f>-F6</f>
        <v>-300</v>
      </c>
      <c r="G85" s="11"/>
      <c r="H85" s="19">
        <f>F85</f>
        <v>-300</v>
      </c>
      <c r="I85" s="11"/>
      <c r="J85" s="11"/>
      <c r="K85" s="11"/>
      <c r="L85" s="11"/>
      <c r="M85" s="11"/>
      <c r="N85" s="11"/>
      <c r="O85" s="11"/>
      <c r="P85" s="11"/>
      <c r="Q85" s="11"/>
      <c r="R85" s="23"/>
    </row>
    <row r="86" spans="2:18" x14ac:dyDescent="0.2">
      <c r="E86" s="26" t="s">
        <v>56</v>
      </c>
      <c r="F86" s="19">
        <f>-F7</f>
        <v>-15</v>
      </c>
      <c r="G86" s="11"/>
      <c r="H86" s="19">
        <f>F86</f>
        <v>-15</v>
      </c>
      <c r="I86" s="11"/>
      <c r="J86" s="11"/>
      <c r="K86" s="11"/>
      <c r="L86" s="11"/>
      <c r="M86" s="11"/>
      <c r="N86" s="11"/>
      <c r="O86" s="11"/>
      <c r="P86" s="11"/>
      <c r="Q86" s="11"/>
      <c r="R86" s="23"/>
    </row>
    <row r="87" spans="2:18" x14ac:dyDescent="0.2">
      <c r="E87" s="26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23"/>
    </row>
    <row r="88" spans="2:18" x14ac:dyDescent="0.2">
      <c r="E88" s="26" t="s">
        <v>49</v>
      </c>
      <c r="F88" s="27">
        <f>F49</f>
        <v>490</v>
      </c>
      <c r="G88" s="11"/>
      <c r="H88" s="11">
        <v>0</v>
      </c>
      <c r="I88" s="19">
        <f>$F$88</f>
        <v>490</v>
      </c>
      <c r="J88" s="19">
        <f t="shared" ref="J88:R88" si="0">$F$88</f>
        <v>490</v>
      </c>
      <c r="K88" s="19">
        <f t="shared" si="0"/>
        <v>490</v>
      </c>
      <c r="L88" s="19">
        <f t="shared" si="0"/>
        <v>490</v>
      </c>
      <c r="M88" s="19">
        <f t="shared" si="0"/>
        <v>490</v>
      </c>
      <c r="N88" s="19">
        <f t="shared" si="0"/>
        <v>490</v>
      </c>
      <c r="O88" s="19">
        <f t="shared" si="0"/>
        <v>490</v>
      </c>
      <c r="P88" s="19">
        <f t="shared" si="0"/>
        <v>490</v>
      </c>
      <c r="Q88" s="19">
        <f t="shared" si="0"/>
        <v>490</v>
      </c>
      <c r="R88" s="12">
        <f t="shared" si="0"/>
        <v>490</v>
      </c>
    </row>
    <row r="89" spans="2:18" x14ac:dyDescent="0.2">
      <c r="E89" s="26" t="s">
        <v>50</v>
      </c>
      <c r="F89" s="19">
        <f>F79</f>
        <v>318.2</v>
      </c>
      <c r="G89" s="11"/>
      <c r="H89" s="11">
        <v>0</v>
      </c>
      <c r="I89" s="19">
        <f>$F$89</f>
        <v>318.2</v>
      </c>
      <c r="J89" s="19">
        <f t="shared" ref="J89:R89" si="1">$F$89</f>
        <v>318.2</v>
      </c>
      <c r="K89" s="19">
        <f t="shared" si="1"/>
        <v>318.2</v>
      </c>
      <c r="L89" s="19">
        <f t="shared" si="1"/>
        <v>318.2</v>
      </c>
      <c r="M89" s="19">
        <f t="shared" si="1"/>
        <v>318.2</v>
      </c>
      <c r="N89" s="19">
        <f t="shared" si="1"/>
        <v>318.2</v>
      </c>
      <c r="O89" s="19">
        <f t="shared" si="1"/>
        <v>318.2</v>
      </c>
      <c r="P89" s="19">
        <f t="shared" si="1"/>
        <v>318.2</v>
      </c>
      <c r="Q89" s="19">
        <f t="shared" si="1"/>
        <v>318.2</v>
      </c>
      <c r="R89" s="12">
        <f t="shared" si="1"/>
        <v>318.2</v>
      </c>
    </row>
    <row r="90" spans="2:18" x14ac:dyDescent="0.2">
      <c r="E90" s="26" t="s">
        <v>51</v>
      </c>
      <c r="F90" s="11"/>
      <c r="G90" s="11"/>
      <c r="H90" s="11">
        <f>H88-H89</f>
        <v>0</v>
      </c>
      <c r="I90" s="19">
        <f>I88-I89</f>
        <v>171.8</v>
      </c>
      <c r="J90" s="19">
        <f t="shared" ref="J90:R90" si="2">J88-J89</f>
        <v>171.8</v>
      </c>
      <c r="K90" s="19">
        <f t="shared" si="2"/>
        <v>171.8</v>
      </c>
      <c r="L90" s="19">
        <f t="shared" si="2"/>
        <v>171.8</v>
      </c>
      <c r="M90" s="19">
        <f t="shared" si="2"/>
        <v>171.8</v>
      </c>
      <c r="N90" s="19">
        <f t="shared" si="2"/>
        <v>171.8</v>
      </c>
      <c r="O90" s="19">
        <f t="shared" si="2"/>
        <v>171.8</v>
      </c>
      <c r="P90" s="19">
        <f t="shared" si="2"/>
        <v>171.8</v>
      </c>
      <c r="Q90" s="19">
        <f t="shared" si="2"/>
        <v>171.8</v>
      </c>
      <c r="R90" s="12">
        <f t="shared" si="2"/>
        <v>171.8</v>
      </c>
    </row>
    <row r="91" spans="2:18" x14ac:dyDescent="0.2">
      <c r="E91" s="26"/>
      <c r="F91" s="9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23"/>
    </row>
    <row r="92" spans="2:18" x14ac:dyDescent="0.2">
      <c r="E92" s="26" t="s">
        <v>48</v>
      </c>
      <c r="F92" s="11">
        <v>0.2</v>
      </c>
      <c r="G92" s="11"/>
      <c r="H92" s="11"/>
      <c r="I92" s="11">
        <f>$F$92*(1-$F$92)^(I83-1)</f>
        <v>0.2</v>
      </c>
      <c r="J92" s="11">
        <f>$F$92*(1-$F$92)^(J83-1)</f>
        <v>0.16000000000000003</v>
      </c>
      <c r="K92" s="11">
        <f t="shared" ref="K92:R92" si="3">$F$92*(1-$F$92)^(K83-1)</f>
        <v>0.12800000000000003</v>
      </c>
      <c r="L92" s="11">
        <f t="shared" si="3"/>
        <v>0.10240000000000003</v>
      </c>
      <c r="M92" s="11">
        <f t="shared" si="3"/>
        <v>8.1920000000000048E-2</v>
      </c>
      <c r="N92" s="11">
        <f t="shared" si="3"/>
        <v>6.5536000000000039E-2</v>
      </c>
      <c r="O92" s="11">
        <f t="shared" si="3"/>
        <v>5.2428800000000032E-2</v>
      </c>
      <c r="P92" s="11">
        <f t="shared" si="3"/>
        <v>4.1943040000000036E-2</v>
      </c>
      <c r="Q92" s="11">
        <f t="shared" si="3"/>
        <v>3.355443200000003E-2</v>
      </c>
      <c r="R92" s="23">
        <f t="shared" si="3"/>
        <v>2.6843545600000025E-2</v>
      </c>
    </row>
    <row r="93" spans="2:18" x14ac:dyDescent="0.2">
      <c r="E93" s="26" t="s">
        <v>46</v>
      </c>
      <c r="F93" s="11"/>
      <c r="G93" s="11"/>
      <c r="H93" s="11"/>
      <c r="I93" s="11">
        <f>-$F$85*I92</f>
        <v>60</v>
      </c>
      <c r="J93" s="11">
        <f t="shared" ref="J93:R93" si="4">-$F$85*J92</f>
        <v>48.000000000000007</v>
      </c>
      <c r="K93" s="11">
        <f t="shared" si="4"/>
        <v>38.400000000000006</v>
      </c>
      <c r="L93" s="11">
        <f t="shared" si="4"/>
        <v>30.72000000000001</v>
      </c>
      <c r="M93" s="11">
        <f t="shared" si="4"/>
        <v>24.576000000000015</v>
      </c>
      <c r="N93" s="11">
        <f t="shared" si="4"/>
        <v>19.660800000000012</v>
      </c>
      <c r="O93" s="11">
        <f t="shared" si="4"/>
        <v>15.728640000000009</v>
      </c>
      <c r="P93" s="11">
        <f t="shared" si="4"/>
        <v>12.582912000000011</v>
      </c>
      <c r="Q93" s="11">
        <f t="shared" si="4"/>
        <v>10.066329600000008</v>
      </c>
      <c r="R93" s="23">
        <f t="shared" si="4"/>
        <v>8.0530636800000082</v>
      </c>
    </row>
    <row r="94" spans="2:18" x14ac:dyDescent="0.2">
      <c r="E94" s="26" t="s">
        <v>52</v>
      </c>
      <c r="F94" s="11"/>
      <c r="G94" s="11"/>
      <c r="H94" s="11"/>
      <c r="I94" s="19">
        <f>I90-I93</f>
        <v>111.80000000000001</v>
      </c>
      <c r="J94" s="19">
        <f t="shared" ref="J94:R94" si="5">J90-J93</f>
        <v>123.80000000000001</v>
      </c>
      <c r="K94" s="19">
        <f t="shared" si="5"/>
        <v>133.4</v>
      </c>
      <c r="L94" s="19">
        <f t="shared" si="5"/>
        <v>141.08000000000001</v>
      </c>
      <c r="M94" s="19">
        <f t="shared" si="5"/>
        <v>147.22399999999999</v>
      </c>
      <c r="N94" s="19">
        <f t="shared" si="5"/>
        <v>152.13919999999999</v>
      </c>
      <c r="O94" s="19">
        <f t="shared" si="5"/>
        <v>156.07136</v>
      </c>
      <c r="P94" s="19">
        <f t="shared" si="5"/>
        <v>159.21708799999999</v>
      </c>
      <c r="Q94" s="19">
        <f t="shared" si="5"/>
        <v>161.73367039999999</v>
      </c>
      <c r="R94" s="12">
        <f t="shared" si="5"/>
        <v>163.74693632</v>
      </c>
    </row>
    <row r="95" spans="2:18" x14ac:dyDescent="0.2">
      <c r="E95" s="26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23"/>
    </row>
    <row r="96" spans="2:18" x14ac:dyDescent="0.2">
      <c r="E96" s="26" t="s">
        <v>47</v>
      </c>
      <c r="F96" s="28">
        <v>0.28000000000000003</v>
      </c>
      <c r="G96" s="11"/>
      <c r="H96" s="11"/>
      <c r="I96" s="11">
        <f>I94*$F$96</f>
        <v>31.304000000000006</v>
      </c>
      <c r="J96" s="11">
        <f t="shared" ref="J96:R96" si="6">J94*$F$96</f>
        <v>34.664000000000009</v>
      </c>
      <c r="K96" s="11">
        <f t="shared" si="6"/>
        <v>37.352000000000004</v>
      </c>
      <c r="L96" s="11">
        <f t="shared" si="6"/>
        <v>39.502400000000009</v>
      </c>
      <c r="M96" s="11">
        <f t="shared" si="6"/>
        <v>41.222720000000002</v>
      </c>
      <c r="N96" s="11">
        <f t="shared" si="6"/>
        <v>42.598976</v>
      </c>
      <c r="O96" s="11">
        <f t="shared" si="6"/>
        <v>43.699980800000006</v>
      </c>
      <c r="P96" s="11">
        <f t="shared" si="6"/>
        <v>44.580784640000005</v>
      </c>
      <c r="Q96" s="11">
        <f t="shared" si="6"/>
        <v>45.285427712000001</v>
      </c>
      <c r="R96" s="23">
        <f t="shared" si="6"/>
        <v>45.849142169600007</v>
      </c>
    </row>
    <row r="97" spans="5:18" x14ac:dyDescent="0.2">
      <c r="E97" s="26" t="s">
        <v>53</v>
      </c>
      <c r="F97" s="11"/>
      <c r="G97" s="11"/>
      <c r="H97" s="11"/>
      <c r="I97" s="19">
        <f>I94-I96</f>
        <v>80.496000000000009</v>
      </c>
      <c r="J97" s="19">
        <f t="shared" ref="J97:R97" si="7">J94-J96</f>
        <v>89.135999999999996</v>
      </c>
      <c r="K97" s="19">
        <f t="shared" si="7"/>
        <v>96.048000000000002</v>
      </c>
      <c r="L97" s="19">
        <f t="shared" si="7"/>
        <v>101.5776</v>
      </c>
      <c r="M97" s="19">
        <f t="shared" si="7"/>
        <v>106.00127999999998</v>
      </c>
      <c r="N97" s="19">
        <f t="shared" si="7"/>
        <v>109.54022399999999</v>
      </c>
      <c r="O97" s="19">
        <f t="shared" si="7"/>
        <v>112.37137919999999</v>
      </c>
      <c r="P97" s="19">
        <f t="shared" si="7"/>
        <v>114.63630335999999</v>
      </c>
      <c r="Q97" s="19">
        <f t="shared" si="7"/>
        <v>116.44824268799999</v>
      </c>
      <c r="R97" s="12">
        <f t="shared" si="7"/>
        <v>117.89779415039999</v>
      </c>
    </row>
    <row r="98" spans="5:18" x14ac:dyDescent="0.2">
      <c r="E98" s="26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23"/>
    </row>
    <row r="99" spans="5:18" x14ac:dyDescent="0.2">
      <c r="E99" s="26" t="s">
        <v>46</v>
      </c>
      <c r="F99" s="11"/>
      <c r="G99" s="11"/>
      <c r="H99" s="11"/>
      <c r="I99" s="11">
        <f>I93</f>
        <v>60</v>
      </c>
      <c r="J99" s="11">
        <f t="shared" ref="J99:R99" si="8">J93</f>
        <v>48.000000000000007</v>
      </c>
      <c r="K99" s="11">
        <f t="shared" si="8"/>
        <v>38.400000000000006</v>
      </c>
      <c r="L99" s="11">
        <f t="shared" si="8"/>
        <v>30.72000000000001</v>
      </c>
      <c r="M99" s="11">
        <f t="shared" si="8"/>
        <v>24.576000000000015</v>
      </c>
      <c r="N99" s="11">
        <f t="shared" si="8"/>
        <v>19.660800000000012</v>
      </c>
      <c r="O99" s="11">
        <f t="shared" si="8"/>
        <v>15.728640000000009</v>
      </c>
      <c r="P99" s="11">
        <f t="shared" si="8"/>
        <v>12.582912000000011</v>
      </c>
      <c r="Q99" s="11">
        <f t="shared" si="8"/>
        <v>10.066329600000008</v>
      </c>
      <c r="R99" s="23">
        <f t="shared" si="8"/>
        <v>8.0530636800000082</v>
      </c>
    </row>
    <row r="100" spans="5:18" x14ac:dyDescent="0.2">
      <c r="E100" s="26" t="s">
        <v>54</v>
      </c>
      <c r="F100" s="11"/>
      <c r="G100" s="11">
        <v>0</v>
      </c>
      <c r="H100" s="19">
        <f>G100+H85</f>
        <v>-300</v>
      </c>
      <c r="I100" s="19">
        <f>I97+I99</f>
        <v>140.49600000000001</v>
      </c>
      <c r="J100" s="19">
        <f t="shared" ref="J100:R100" si="9">J97+J99</f>
        <v>137.136</v>
      </c>
      <c r="K100" s="19">
        <f t="shared" si="9"/>
        <v>134.44800000000001</v>
      </c>
      <c r="L100" s="19">
        <f t="shared" si="9"/>
        <v>132.29760000000002</v>
      </c>
      <c r="M100" s="19">
        <f t="shared" si="9"/>
        <v>130.57728</v>
      </c>
      <c r="N100" s="19">
        <f t="shared" si="9"/>
        <v>129.20102400000002</v>
      </c>
      <c r="O100" s="19">
        <f t="shared" si="9"/>
        <v>128.10001919999999</v>
      </c>
      <c r="P100" s="19">
        <f t="shared" si="9"/>
        <v>127.21921535999999</v>
      </c>
      <c r="Q100" s="19">
        <f t="shared" si="9"/>
        <v>126.514572288</v>
      </c>
      <c r="R100" s="12">
        <f t="shared" si="9"/>
        <v>125.9508578304</v>
      </c>
    </row>
    <row r="101" spans="5:18" ht="17" thickBot="1" x14ac:dyDescent="0.25">
      <c r="E101" s="29" t="s">
        <v>57</v>
      </c>
      <c r="F101" s="18"/>
      <c r="G101" s="32">
        <v>0</v>
      </c>
      <c r="H101" s="33">
        <f>H100+G101+H86</f>
        <v>-315</v>
      </c>
      <c r="I101" s="33">
        <f t="shared" ref="I101:R101" si="10">I100+H101</f>
        <v>-174.50399999999999</v>
      </c>
      <c r="J101" s="33">
        <f t="shared" si="10"/>
        <v>-37.367999999999995</v>
      </c>
      <c r="K101" s="33">
        <f t="shared" si="10"/>
        <v>97.080000000000013</v>
      </c>
      <c r="L101" s="33">
        <f t="shared" si="10"/>
        <v>229.37760000000003</v>
      </c>
      <c r="M101" s="33">
        <f t="shared" si="10"/>
        <v>359.95488</v>
      </c>
      <c r="N101" s="33">
        <f t="shared" si="10"/>
        <v>489.15590400000002</v>
      </c>
      <c r="O101" s="33">
        <f t="shared" si="10"/>
        <v>617.25592319999998</v>
      </c>
      <c r="P101" s="33">
        <f t="shared" si="10"/>
        <v>744.47513856</v>
      </c>
      <c r="Q101" s="33">
        <f t="shared" si="10"/>
        <v>870.98971084799996</v>
      </c>
      <c r="R101" s="34">
        <f t="shared" si="10"/>
        <v>996.94056867839993</v>
      </c>
    </row>
    <row r="127" spans="2:6" x14ac:dyDescent="0.2">
      <c r="B127" s="1" t="s">
        <v>1</v>
      </c>
      <c r="C127" s="1" t="s">
        <v>58</v>
      </c>
    </row>
    <row r="128" spans="2:6" x14ac:dyDescent="0.2">
      <c r="E128" s="43" t="s">
        <v>60</v>
      </c>
      <c r="F128" s="44">
        <f>F49-F79</f>
        <v>171.8</v>
      </c>
    </row>
    <row r="129" spans="2:17" x14ac:dyDescent="0.2">
      <c r="E129" s="36" t="s">
        <v>59</v>
      </c>
      <c r="F129" s="37">
        <f>F128/F6</f>
        <v>0.57266666666666666</v>
      </c>
    </row>
    <row r="130" spans="2:17" x14ac:dyDescent="0.2">
      <c r="E130" s="1" t="s">
        <v>68</v>
      </c>
      <c r="F130" s="4">
        <f>AVERAGE(I100:R100)</f>
        <v>131.19405686784</v>
      </c>
    </row>
    <row r="131" spans="2:17" x14ac:dyDescent="0.2">
      <c r="E131" s="36" t="s">
        <v>61</v>
      </c>
      <c r="F131" s="42">
        <f>F6/F128</f>
        <v>1.7462165308498252</v>
      </c>
      <c r="G131" s="35" t="s">
        <v>62</v>
      </c>
    </row>
    <row r="132" spans="2:17" x14ac:dyDescent="0.2">
      <c r="E132" s="36" t="s">
        <v>69</v>
      </c>
      <c r="F132" s="42">
        <f>F6/F130</f>
        <v>2.2866889488920128</v>
      </c>
      <c r="G132" s="3" t="s">
        <v>72</v>
      </c>
    </row>
    <row r="135" spans="2:17" x14ac:dyDescent="0.2">
      <c r="B135" s="1" t="s">
        <v>1</v>
      </c>
      <c r="C135" s="1" t="s">
        <v>63</v>
      </c>
      <c r="E135" t="s">
        <v>85</v>
      </c>
    </row>
    <row r="137" spans="2:17" x14ac:dyDescent="0.2">
      <c r="E137" s="1" t="s">
        <v>45</v>
      </c>
      <c r="G137" s="1">
        <v>0</v>
      </c>
      <c r="H137" s="1">
        <v>1</v>
      </c>
      <c r="I137" s="1">
        <v>2</v>
      </c>
      <c r="J137" s="1">
        <v>3</v>
      </c>
      <c r="K137" s="1">
        <v>4</v>
      </c>
      <c r="L137" s="1">
        <v>5</v>
      </c>
      <c r="M137" s="1">
        <v>6</v>
      </c>
      <c r="N137" s="1">
        <v>7</v>
      </c>
      <c r="O137" s="1">
        <v>8</v>
      </c>
      <c r="P137" s="1">
        <v>9</v>
      </c>
      <c r="Q137" s="1">
        <v>10</v>
      </c>
    </row>
    <row r="138" spans="2:17" x14ac:dyDescent="0.2">
      <c r="E138" s="36" t="s">
        <v>64</v>
      </c>
      <c r="F138" s="37">
        <v>0.43995224292791218</v>
      </c>
      <c r="G138">
        <f>1/(1+$F$138)^G137</f>
        <v>1</v>
      </c>
      <c r="H138">
        <f>1/(1+$F$138)^H137</f>
        <v>0.69446747620369709</v>
      </c>
      <c r="I138">
        <f>1/(1+$F$138)^I137</f>
        <v>0.48228507550473254</v>
      </c>
      <c r="J138">
        <f>1/(1+$F$138)^J137</f>
        <v>0.33493129919648107</v>
      </c>
      <c r="K138">
        <f>1/(1+$F$138)^K137</f>
        <v>0.23259889405460557</v>
      </c>
      <c r="L138">
        <f>1/(1+$F$138)^L137</f>
        <v>0.16153236692187306</v>
      </c>
      <c r="M138">
        <f>1/(1+$F$138)^M137</f>
        <v>0.11217897518144274</v>
      </c>
      <c r="N138">
        <f>1/(1+$F$138)^N137</f>
        <v>7.79046497773737E-2</v>
      </c>
      <c r="O138">
        <f>1/(1+$F$138)^O137</f>
        <v>5.4102245515425626E-2</v>
      </c>
      <c r="P138">
        <f>1/(1+$F$138)^P137</f>
        <v>3.7572249900050425E-2</v>
      </c>
      <c r="Q138">
        <f>1/(1+$F$138)^Q137</f>
        <v>2.6092705563382626E-2</v>
      </c>
    </row>
    <row r="139" spans="2:17" x14ac:dyDescent="0.2">
      <c r="E139" s="1" t="s">
        <v>65</v>
      </c>
      <c r="G139">
        <f>H100*G138</f>
        <v>-300</v>
      </c>
      <c r="H139">
        <f>I100*H138</f>
        <v>97.569902536714636</v>
      </c>
      <c r="I139">
        <f>J100*I138</f>
        <v>66.138646114417</v>
      </c>
      <c r="J139">
        <f>K100*J138</f>
        <v>45.030843314368489</v>
      </c>
      <c r="K139">
        <f>L100*K138</f>
        <v>30.772275446078591</v>
      </c>
      <c r="L139">
        <f>M100*L138</f>
        <v>21.092457104620156</v>
      </c>
      <c r="M139">
        <f>N100*M138</f>
        <v>14.493638464712989</v>
      </c>
      <c r="N139">
        <f>O100*N138</f>
        <v>9.9795871322508454</v>
      </c>
      <c r="O139">
        <f>P100*O138</f>
        <v>6.8828452236865267</v>
      </c>
      <c r="P139">
        <f>Q100*P138</f>
        <v>4.7534371260027299</v>
      </c>
      <c r="Q139">
        <f>R100*Q138</f>
        <v>3.2863986488240924</v>
      </c>
    </row>
    <row r="140" spans="2:17" x14ac:dyDescent="0.2">
      <c r="E140" s="1" t="s">
        <v>66</v>
      </c>
      <c r="F140">
        <f>SUM(G139:Q139)</f>
        <v>3.1111676075390449E-5</v>
      </c>
    </row>
    <row r="142" spans="2:17" x14ac:dyDescent="0.2">
      <c r="B142" s="1" t="s">
        <v>1</v>
      </c>
      <c r="C142" s="1" t="s">
        <v>67</v>
      </c>
    </row>
    <row r="143" spans="2:17" x14ac:dyDescent="0.2">
      <c r="D143" s="1" t="s">
        <v>70</v>
      </c>
      <c r="E143" t="s">
        <v>83</v>
      </c>
    </row>
    <row r="144" spans="2:17" x14ac:dyDescent="0.2">
      <c r="E144" s="36" t="s">
        <v>71</v>
      </c>
      <c r="F144" s="37">
        <v>0.37697715289982425</v>
      </c>
    </row>
    <row r="145" spans="4:6" x14ac:dyDescent="0.2">
      <c r="E145" s="1" t="s">
        <v>73</v>
      </c>
      <c r="F145" s="4">
        <f>$F$75+$F$6/$F$8</f>
        <v>32.1</v>
      </c>
    </row>
    <row r="146" spans="4:6" x14ac:dyDescent="0.2">
      <c r="E146" s="1" t="s">
        <v>75</v>
      </c>
      <c r="F146" s="4">
        <f>$F$76+$F$6/$F$8</f>
        <v>85.800000000000011</v>
      </c>
    </row>
    <row r="147" spans="4:6" x14ac:dyDescent="0.2">
      <c r="E147" s="1" t="s">
        <v>76</v>
      </c>
      <c r="F147" s="4">
        <f>$G$25</f>
        <v>5248</v>
      </c>
    </row>
    <row r="148" spans="4:6" x14ac:dyDescent="0.2">
      <c r="E148" s="1" t="s">
        <v>77</v>
      </c>
      <c r="F148">
        <f>$F$4*F144</f>
        <v>18848.857644991214</v>
      </c>
    </row>
    <row r="149" spans="4:6" x14ac:dyDescent="0.2">
      <c r="E149" s="1" t="s">
        <v>78</v>
      </c>
      <c r="F149">
        <f>F147*F148/10^6</f>
        <v>98.918804920913885</v>
      </c>
    </row>
    <row r="150" spans="4:6" x14ac:dyDescent="0.2">
      <c r="E150" s="1" t="s">
        <v>79</v>
      </c>
      <c r="F150" s="4">
        <f>F146+F149</f>
        <v>184.7188049209139</v>
      </c>
    </row>
    <row r="151" spans="4:6" x14ac:dyDescent="0.2">
      <c r="E151" s="1" t="s">
        <v>80</v>
      </c>
      <c r="F151" s="4">
        <f>F148*$F$5/10^6</f>
        <v>184.7188049209139</v>
      </c>
    </row>
    <row r="153" spans="4:6" x14ac:dyDescent="0.2">
      <c r="E153" s="1" t="s">
        <v>81</v>
      </c>
      <c r="F153" s="4">
        <f>F151-F150</f>
        <v>0</v>
      </c>
    </row>
    <row r="155" spans="4:6" x14ac:dyDescent="0.2">
      <c r="D155" s="1" t="s">
        <v>82</v>
      </c>
      <c r="E155" s="47" t="s">
        <v>86</v>
      </c>
    </row>
    <row r="156" spans="4:6" x14ac:dyDescent="0.2">
      <c r="E156" s="36" t="s">
        <v>71</v>
      </c>
      <c r="F156" s="37">
        <v>0.23594024604569414</v>
      </c>
    </row>
    <row r="157" spans="4:6" x14ac:dyDescent="0.2">
      <c r="E157" s="1" t="s">
        <v>73</v>
      </c>
      <c r="F157" s="4">
        <f>$F$75+$F$6/$F$8</f>
        <v>32.1</v>
      </c>
    </row>
    <row r="158" spans="4:6" x14ac:dyDescent="0.2">
      <c r="E158" s="1" t="s">
        <v>75</v>
      </c>
      <c r="F158" s="4">
        <f>$F$76+$F$6/$F$8</f>
        <v>85.800000000000011</v>
      </c>
    </row>
    <row r="159" spans="4:6" x14ac:dyDescent="0.2">
      <c r="E159" s="1" t="s">
        <v>76</v>
      </c>
      <c r="F159" s="4">
        <f>$G$25</f>
        <v>5248</v>
      </c>
    </row>
    <row r="160" spans="4:6" x14ac:dyDescent="0.2">
      <c r="E160" s="1" t="s">
        <v>77</v>
      </c>
      <c r="F160">
        <f>$F$4*F156</f>
        <v>11797.012302284707</v>
      </c>
    </row>
    <row r="161" spans="5:6" x14ac:dyDescent="0.2">
      <c r="E161" s="1" t="s">
        <v>78</v>
      </c>
      <c r="F161">
        <f>F159*F160/10^6</f>
        <v>61.910720562390139</v>
      </c>
    </row>
    <row r="162" spans="5:6" x14ac:dyDescent="0.2">
      <c r="E162" s="1" t="s">
        <v>79</v>
      </c>
      <c r="F162" s="4">
        <f>F158+F161</f>
        <v>147.71072056239015</v>
      </c>
    </row>
    <row r="163" spans="5:6" x14ac:dyDescent="0.2">
      <c r="E163" s="1" t="s">
        <v>80</v>
      </c>
      <c r="F163" s="4">
        <f>F160*$F$5/10^6</f>
        <v>115.61072056239013</v>
      </c>
    </row>
    <row r="165" spans="5:6" x14ac:dyDescent="0.2">
      <c r="E165" s="1" t="s">
        <v>81</v>
      </c>
      <c r="F165" s="4">
        <f>F163-F162</f>
        <v>-32.100000000000023</v>
      </c>
    </row>
    <row r="167" spans="5:6" x14ac:dyDescent="0.2">
      <c r="E167" s="1" t="s">
        <v>84</v>
      </c>
      <c r="F167" s="4">
        <f>-F165 - F157</f>
        <v>0</v>
      </c>
    </row>
  </sheetData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2022-03-04T00:42:33Z</dcterms:created>
  <dcterms:modified xsi:type="dcterms:W3CDTF">2022-03-04T14:54:48Z</dcterms:modified>
</cp:coreProperties>
</file>